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vec\Documents\"/>
    </mc:Choice>
  </mc:AlternateContent>
  <xr:revisionPtr revIDLastSave="0" documentId="8_{FC0AC51D-2439-47CD-8A97-02EC9DEF1E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počty" sheetId="1" r:id="rId1"/>
  </sheets>
  <calcPr calcId="191029"/>
</workbook>
</file>

<file path=xl/calcChain.xml><?xml version="1.0" encoding="utf-8"?>
<calcChain xmlns="http://schemas.openxmlformats.org/spreadsheetml/2006/main">
  <c r="C63" i="1" l="1"/>
  <c r="C54" i="1"/>
  <c r="C60" i="1"/>
  <c r="C57" i="1"/>
  <c r="C56" i="1"/>
  <c r="C24" i="1"/>
  <c r="C26" i="1"/>
  <c r="C48" i="1"/>
  <c r="C49" i="1"/>
  <c r="C51" i="1"/>
  <c r="C52" i="1"/>
  <c r="F52" i="1"/>
  <c r="C31" i="1"/>
  <c r="D25" i="1"/>
  <c r="C25" i="1"/>
  <c r="F98" i="1"/>
  <c r="E98" i="1"/>
  <c r="D62" i="1"/>
  <c r="D61" i="1"/>
  <c r="C11" i="1"/>
  <c r="C21" i="1"/>
  <c r="C22" i="1"/>
  <c r="D11" i="1"/>
  <c r="D21" i="1"/>
  <c r="D22" i="1"/>
  <c r="C39" i="1"/>
  <c r="C50" i="1"/>
  <c r="C58" i="1"/>
  <c r="D58" i="1"/>
  <c r="D28" i="1"/>
  <c r="D60" i="1"/>
  <c r="D31" i="1"/>
  <c r="C59" i="1"/>
  <c r="C65" i="1"/>
  <c r="D56" i="1"/>
  <c r="C32" i="1"/>
  <c r="E76" i="1"/>
  <c r="E86" i="1"/>
  <c r="E89" i="1"/>
  <c r="E96" i="1"/>
  <c r="E100" i="1"/>
  <c r="C33" i="1"/>
  <c r="D24" i="1"/>
  <c r="D59" i="1"/>
  <c r="D26" i="1"/>
  <c r="D32" i="1"/>
  <c r="D57" i="1"/>
  <c r="F96" i="1"/>
  <c r="F100" i="1"/>
  <c r="F76" i="1"/>
  <c r="F86" i="1"/>
  <c r="F89" i="1"/>
  <c r="D33" i="1"/>
</calcChain>
</file>

<file path=xl/sharedStrings.xml><?xml version="1.0" encoding="utf-8"?>
<sst xmlns="http://schemas.openxmlformats.org/spreadsheetml/2006/main" count="154" uniqueCount="128">
  <si>
    <t>Nájomné</t>
  </si>
  <si>
    <t>Služby s nájmom priestoru</t>
  </si>
  <si>
    <t>Zdravotnícky materiál</t>
  </si>
  <si>
    <t>Prevádzková réžia</t>
  </si>
  <si>
    <t>Odborné podujatia, vzdelávanie</t>
  </si>
  <si>
    <t>Odmeny nezdravot.personálu</t>
  </si>
  <si>
    <t>PHM</t>
  </si>
  <si>
    <t>Poistenie, správne poplatky</t>
  </si>
  <si>
    <t>Odvody</t>
  </si>
  <si>
    <t>Zamestnanec v mzde</t>
  </si>
  <si>
    <t>Zamestnávateľ za zamestnanca</t>
  </si>
  <si>
    <t>Spolu odvody</t>
  </si>
  <si>
    <t>Nezdaniteľná čiastka</t>
  </si>
  <si>
    <t>Základ dane</t>
  </si>
  <si>
    <t>Daň</t>
  </si>
  <si>
    <t>Lekár ako FO</t>
  </si>
  <si>
    <t>%</t>
  </si>
  <si>
    <t>Počet bodov za výkon</t>
  </si>
  <si>
    <t>Doba trvania výkonu v minútach</t>
  </si>
  <si>
    <t>Technické vybavenie</t>
  </si>
  <si>
    <t>Zdravotnícke prístroje</t>
  </si>
  <si>
    <t>Dopravné prostriedky</t>
  </si>
  <si>
    <t>Spolu investičné náklady</t>
  </si>
  <si>
    <t xml:space="preserve">Spolu prevadzkové náklady </t>
  </si>
  <si>
    <t>Spolu prevadzkové náklady</t>
  </si>
  <si>
    <t xml:space="preserve">    Podvojné účt.</t>
  </si>
  <si>
    <t>NÁKLADY</t>
  </si>
  <si>
    <t>A.Investičné</t>
  </si>
  <si>
    <t>B.Prevádzkové</t>
  </si>
  <si>
    <t>C.Mzdové</t>
  </si>
  <si>
    <t>SPOLU ROČNÉ NÁKLADY</t>
  </si>
  <si>
    <t>PO = s.r.o.</t>
  </si>
  <si>
    <t>FO = fyzická osoba</t>
  </si>
  <si>
    <t xml:space="preserve">    Jednoduché účt.</t>
  </si>
  <si>
    <t>Odvody lekára FO (2)</t>
  </si>
  <si>
    <t xml:space="preserve">Sestrička ročná CP(cena práce) </t>
  </si>
  <si>
    <t>Spolu ročné mzdové náklady</t>
  </si>
  <si>
    <t>D.Zisk</t>
  </si>
  <si>
    <r>
      <t>Odvody</t>
    </r>
    <r>
      <rPr>
        <sz val="10"/>
        <color indexed="8"/>
        <rFont val="Arial"/>
        <family val="2"/>
        <charset val="238"/>
      </rPr>
      <t xml:space="preserve"> výška určená zákonom</t>
    </r>
  </si>
  <si>
    <t>Podnikateľ fyzická osoba</t>
  </si>
  <si>
    <t>počas roka 48,60 z hrubého zisku, v skutočnosti z rozdielu medzi príjmami  a výdavkami za uplynulý rok</t>
  </si>
  <si>
    <t xml:space="preserve">                                                                </t>
  </si>
  <si>
    <t>mesačne</t>
  </si>
  <si>
    <t>Ročná nezdaniteľná čiastka</t>
  </si>
  <si>
    <t>ročná daň=0,19*(hrubý zisk-nezdaniteľná čiastka)</t>
  </si>
  <si>
    <t>Časť hrubého zisku (A) odpovedajúca ročnému čistému príjmu lekára zamestnanca  v s.r.o.</t>
  </si>
  <si>
    <r>
      <t>a</t>
    </r>
    <r>
      <rPr>
        <b/>
        <sz val="12"/>
        <color indexed="10"/>
        <rFont val="Arial"/>
        <family val="2"/>
        <charset val="238"/>
      </rPr>
      <t>*</t>
    </r>
    <r>
      <rPr>
        <sz val="12"/>
        <rFont val="Arial"/>
        <family val="2"/>
        <charset val="238"/>
      </rPr>
      <t xml:space="preserve">b = a </t>
    </r>
    <r>
      <rPr>
        <b/>
        <sz val="12"/>
        <color indexed="10"/>
        <rFont val="Arial"/>
        <family val="2"/>
        <charset val="238"/>
      </rPr>
      <t>krát</t>
    </r>
    <r>
      <rPr>
        <sz val="12"/>
        <rFont val="Arial"/>
        <family val="2"/>
        <charset val="238"/>
      </rPr>
      <t xml:space="preserve"> b</t>
    </r>
  </si>
  <si>
    <r>
      <t>a</t>
    </r>
    <r>
      <rPr>
        <b/>
        <sz val="12"/>
        <color indexed="10"/>
        <rFont val="Arial"/>
        <family val="2"/>
        <charset val="238"/>
      </rPr>
      <t>/</t>
    </r>
    <r>
      <rPr>
        <sz val="12"/>
        <rFont val="Arial"/>
        <family val="2"/>
        <charset val="238"/>
      </rPr>
      <t xml:space="preserve">b = a </t>
    </r>
    <r>
      <rPr>
        <b/>
        <sz val="12"/>
        <color indexed="10"/>
        <rFont val="Arial"/>
        <family val="2"/>
        <charset val="238"/>
      </rPr>
      <t>deleno</t>
    </r>
    <r>
      <rPr>
        <sz val="12"/>
        <rFont val="Arial"/>
        <family val="2"/>
        <charset val="238"/>
      </rPr>
      <t xml:space="preserve"> b</t>
    </r>
  </si>
  <si>
    <r>
      <t>a</t>
    </r>
    <r>
      <rPr>
        <b/>
        <sz val="12"/>
        <color indexed="10"/>
        <rFont val="Arial"/>
        <family val="2"/>
        <charset val="238"/>
      </rPr>
      <t>+</t>
    </r>
    <r>
      <rPr>
        <sz val="12"/>
        <rFont val="Arial"/>
        <family val="2"/>
        <charset val="238"/>
      </rPr>
      <t>b = a</t>
    </r>
    <r>
      <rPr>
        <b/>
        <sz val="12"/>
        <color indexed="10"/>
        <rFont val="Arial"/>
        <family val="2"/>
        <charset val="238"/>
      </rPr>
      <t xml:space="preserve"> plus</t>
    </r>
    <r>
      <rPr>
        <sz val="12"/>
        <rFont val="Arial"/>
        <family val="2"/>
        <charset val="238"/>
      </rPr>
      <t xml:space="preserve"> b</t>
    </r>
  </si>
  <si>
    <r>
      <t>a</t>
    </r>
    <r>
      <rPr>
        <b/>
        <sz val="12"/>
        <color indexed="10"/>
        <rFont val="Arial"/>
        <family val="2"/>
        <charset val="238"/>
      </rPr>
      <t>-</t>
    </r>
    <r>
      <rPr>
        <sz val="12"/>
        <rFont val="Arial"/>
        <family val="2"/>
        <charset val="238"/>
      </rPr>
      <t xml:space="preserve">b = a </t>
    </r>
    <r>
      <rPr>
        <b/>
        <sz val="12"/>
        <color indexed="10"/>
        <rFont val="Arial"/>
        <family val="2"/>
        <charset val="238"/>
      </rPr>
      <t>mínus</t>
    </r>
    <r>
      <rPr>
        <sz val="12"/>
        <rFont val="Arial"/>
        <family val="2"/>
        <charset val="238"/>
      </rPr>
      <t xml:space="preserve"> b</t>
    </r>
  </si>
  <si>
    <t>PO = právnická osoba = s.r.o.</t>
  </si>
  <si>
    <t>Ročný efektívny(ordinačný) pracovný fond ambulancie v minútach</t>
  </si>
  <si>
    <t>Náklady na špeciálny zdravotnícky materiál</t>
  </si>
  <si>
    <t>Nákladová cena výkonu</t>
  </si>
  <si>
    <t>Ekonomicky oprávnená výška ceny bodu pre tento výkon</t>
  </si>
  <si>
    <t>PO = právnická osoba =  s.r.o.</t>
  </si>
  <si>
    <t>Služby s nájmom priestoru(energie...)</t>
  </si>
  <si>
    <r>
      <t xml:space="preserve">(2) 48,60% z </t>
    </r>
    <r>
      <rPr>
        <sz val="10"/>
        <color indexed="10"/>
        <rFont val="Arial"/>
        <family val="2"/>
        <charset val="238"/>
      </rPr>
      <t>hrubého ročného zisku</t>
    </r>
  </si>
  <si>
    <r>
      <t>ročná nezdaniteľná čiastka</t>
    </r>
    <r>
      <rPr>
        <sz val="10"/>
        <color indexed="8"/>
        <rFont val="Arial"/>
        <family val="2"/>
        <charset val="238"/>
      </rPr>
      <t xml:space="preserve"> (výška určená zákonom)</t>
    </r>
  </si>
  <si>
    <t>Excel: označenie matematických funkcií:</t>
  </si>
  <si>
    <t>Zdravotná sestra v s.r.o. aj zamestnaná u FO</t>
  </si>
  <si>
    <t>(3) % z nákladov, obvykle do 30% z nákladov</t>
  </si>
  <si>
    <t>HRZ -hrubý ročný zisk</t>
  </si>
  <si>
    <t>FO. Časť HRZ A = čistá mzda lekára</t>
  </si>
  <si>
    <t xml:space="preserve">FO. Časť HRZ B = SÚL </t>
  </si>
  <si>
    <t xml:space="preserve">FO. Časť HRZ C = vlastný čistý zisk(3)    </t>
  </si>
  <si>
    <t>PO. Časť HRZ = SÚL</t>
  </si>
  <si>
    <t>PO. Časť HRZ = vlastný čistý zisk(3)</t>
  </si>
  <si>
    <t>Lekár v s.r.o. = PO</t>
  </si>
  <si>
    <t>SÚL - splátky úverov a lízingov</t>
  </si>
  <si>
    <t>Hrubý ročný zisk (HRZ) = časti zisku(A+B+C) +ročná daň</t>
  </si>
  <si>
    <t xml:space="preserve">Odvody lekára FO </t>
  </si>
  <si>
    <r>
      <t xml:space="preserve">48,60% z </t>
    </r>
    <r>
      <rPr>
        <sz val="10"/>
        <color indexed="10"/>
        <rFont val="Arial"/>
        <family val="2"/>
        <charset val="238"/>
      </rPr>
      <t>hrubého ročného zisku (HRZ)</t>
    </r>
  </si>
  <si>
    <t>Ročná daň FO</t>
  </si>
  <si>
    <t>Ročný základ dane = HZR - nezdaniteľná čiastka</t>
  </si>
  <si>
    <r>
      <t xml:space="preserve">(čistý mesačný príjem=zisk lekára FO </t>
    </r>
    <r>
      <rPr>
        <b/>
        <sz val="11"/>
        <color indexed="10"/>
        <rFont val="Arial"/>
        <family val="2"/>
        <charset val="238"/>
      </rPr>
      <t>=</t>
    </r>
    <r>
      <rPr>
        <b/>
        <sz val="10"/>
        <color indexed="10"/>
        <rFont val="Arial"/>
        <family val="2"/>
        <charset val="238"/>
      </rPr>
      <t xml:space="preserve"> čistej mesačnej mzde lekára zamestnanca v s.r.o.)</t>
    </r>
  </si>
  <si>
    <r>
      <t>1. Výpočet  ročných nákladov poskytovanej zdravotnej starostlivosti</t>
    </r>
    <r>
      <rPr>
        <b/>
        <sz val="14"/>
        <color indexed="17"/>
        <rFont val="Arial"/>
        <family val="2"/>
        <charset val="238"/>
      </rPr>
      <t xml:space="preserve"> </t>
    </r>
  </si>
  <si>
    <t>(v nemocniciach dnes 2-4 tisíc €)</t>
  </si>
  <si>
    <t>Interiérové/exteriérové vybavenie</t>
  </si>
  <si>
    <t>Mesačná cena práce sestry</t>
  </si>
  <si>
    <t>Mesačná cena práce lekára</t>
  </si>
  <si>
    <t>ročné náklady spolu(€) / 94 500 minút</t>
  </si>
  <si>
    <t>2. Mesačné personálne náklady (PN) - zadávame čisté mzdy ostatné sa prepočítava automaticky</t>
  </si>
  <si>
    <t>Mesačné PN spolu</t>
  </si>
  <si>
    <t>Čistá mzda -ČM - lekára</t>
  </si>
  <si>
    <t>Čistá mzda -ČM - sestry</t>
  </si>
  <si>
    <t>(mesačné PN spolu = súčet mesačných cien práce lekára + sestry = mesačná cena práce ambulancie)</t>
  </si>
  <si>
    <t>Odpisy z investičných nákladov (1)</t>
  </si>
  <si>
    <t>Odpisy z investičných nákladov(1)</t>
  </si>
  <si>
    <t>(bezbariérovosť!)</t>
  </si>
  <si>
    <t>Zadávajte údaje do polí podfarbených žltou, výsledky sa objavia v poliach podfarbených zelenou</t>
  </si>
  <si>
    <t>7 hodinová ordinačná doba (8 hod.pracovná doba - 1 hod administratíva a iné činnosti)*225 pracovných  dní (250-25 dní dovolenky)</t>
  </si>
  <si>
    <t>Cena 1 min. ordinačnej doby ambulancie / náklady spolu za 1 min.</t>
  </si>
  <si>
    <t>Výpočet ekonomicky oprávn. výšky ceny b. konkrétneho výkonu:</t>
  </si>
  <si>
    <t>napríklad výkon 159a</t>
  </si>
  <si>
    <t>doba trvania výkonu v min * efektívna nákladová cena ambulancie/1 min+náklady na špeciálny zdravotnícky materiál</t>
  </si>
  <si>
    <t>nákladová cena výkonu/počet bodov za výkon</t>
  </si>
  <si>
    <t xml:space="preserve">ročné náklady spolu </t>
  </si>
  <si>
    <t>pridelený mesačný bodový limit</t>
  </si>
  <si>
    <t>ročný limit bodov</t>
  </si>
  <si>
    <t>Ekonom. oprávnená výška b.podľa sumárn. ročných parametrov</t>
  </si>
  <si>
    <t>ročné náklady spolu / pridelený ročný limit bodov</t>
  </si>
  <si>
    <t>3.Výpočet ekon.oprávnenej nákladovej ceny 1min.ordinačnej doby</t>
  </si>
  <si>
    <t>4.Výpočet ekonomicky oprávnenej výšky ceny bodu</t>
  </si>
  <si>
    <t>5.Výpočet ekonomicky oprávnenej výšky ceny bodu podľa sumárnych ročných parametrov</t>
  </si>
  <si>
    <t>6. Mzdové požiadavky zdravotných sestier:</t>
  </si>
  <si>
    <t>(700-1000€ aby nám sestry neodchádzali do nemocníc)</t>
  </si>
  <si>
    <t>7. Mzdové požiadavky lekára:</t>
  </si>
  <si>
    <t>Priemerné mesačné náklady</t>
  </si>
  <si>
    <t>prístrojový / neprístrojový</t>
  </si>
  <si>
    <t>bodujúci + IPP</t>
  </si>
  <si>
    <t>V ambulanciách rovnaké ako sú na dnešnej úrovni v nemocnici-https://spravy.pravda.sk/domace/clanok/381979-v-statnych-nemocniciach-platy-stupali-viac/</t>
  </si>
  <si>
    <t>Ako sú u sestier na dnešnej úrovni v nemocnici-https://spravy.pravda.sk/domace/clanok/381979-v-statnych-nemocniciach-platy-stupali-viac/</t>
  </si>
  <si>
    <t>liptak@vld.sk</t>
  </si>
  <si>
    <t>mobil 0903440016</t>
  </si>
  <si>
    <t>(© P.Lipták, 10.3.2012 - 16.9.2019, otázky adresujte liptak@vld.sk)</t>
  </si>
  <si>
    <t>mesačná nezdaniteľná čiastka-MNC</t>
  </si>
  <si>
    <t>HM =(CM-0,19*MNC)/0,70146</t>
  </si>
  <si>
    <t xml:space="preserve">Hrubá mzda - HM </t>
  </si>
  <si>
    <t>E.Ročná daň PO (21 %)</t>
  </si>
  <si>
    <t>E.Ročná daň FO (19%)</t>
  </si>
  <si>
    <t xml:space="preserve"> pre daný rok</t>
  </si>
  <si>
    <t>Lekár cena práce=HM*1,352*12</t>
  </si>
  <si>
    <t>Sestrička cena práce=HM*1,352*12</t>
  </si>
  <si>
    <t>(=HM * 1,352)</t>
  </si>
  <si>
    <t>(HM * 1,352)</t>
  </si>
  <si>
    <r>
      <t xml:space="preserve">Kalkulátor ekonomických parametrov pre ambulanciu ŠAS </t>
    </r>
    <r>
      <rPr>
        <sz val="10"/>
        <rFont val="Arial"/>
        <family val="2"/>
        <charset val="238"/>
      </rPr>
      <t>(verzia 2019.1_2)</t>
    </r>
  </si>
  <si>
    <r>
      <rPr>
        <b/>
        <sz val="10"/>
        <rFont val="Arial"/>
        <family val="2"/>
        <charset val="238"/>
      </rPr>
      <t>(1)</t>
    </r>
    <r>
      <rPr>
        <sz val="10"/>
        <rFont val="Arial"/>
        <family val="2"/>
        <charset val="238"/>
      </rPr>
      <t xml:space="preserve"> tu sú počítané ako 1/6 súčtu investičných nákladov /účtovné odpisy/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</si>
</sst>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"/>
    <numFmt numFmtId="165" formatCode="0.000000"/>
    <numFmt numFmtId="166" formatCode="0.0000000"/>
  </numFmts>
  <fonts count="6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  <charset val="238"/>
    </font>
    <font>
      <b/>
      <i/>
      <sz val="9"/>
      <color indexed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2"/>
      <name val="Arial"/>
      <family val="2"/>
      <charset val="238"/>
    </font>
    <font>
      <b/>
      <sz val="13.5"/>
      <color indexed="8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2"/>
      <color theme="1"/>
      <name val="Arial"/>
      <family val="2"/>
    </font>
    <font>
      <b/>
      <u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rgb="FF7030A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</font>
    <font>
      <b/>
      <u/>
      <sz val="14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u/>
      <sz val="14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B0F0"/>
      <name val="Arial"/>
      <family val="2"/>
    </font>
    <font>
      <b/>
      <sz val="10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FF"/>
      <name val="Arial"/>
      <family val="2"/>
    </font>
    <font>
      <b/>
      <sz val="12"/>
      <color rgb="FF3333FF"/>
      <name val="Arial"/>
      <family val="2"/>
    </font>
    <font>
      <b/>
      <sz val="12"/>
      <color rgb="FF3333FF"/>
      <name val="Arial"/>
      <family val="2"/>
      <charset val="238"/>
    </font>
    <font>
      <b/>
      <sz val="12"/>
      <color rgb="FF002060"/>
      <name val="Arial"/>
      <family val="2"/>
    </font>
    <font>
      <b/>
      <sz val="10"/>
      <color rgb="FF7030A0"/>
      <name val="Arial"/>
      <family val="2"/>
      <charset val="238"/>
    </font>
    <font>
      <b/>
      <sz val="10"/>
      <color rgb="FF0C22C4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0909B7"/>
      <name val="Arial"/>
      <family val="2"/>
    </font>
    <font>
      <b/>
      <sz val="12"/>
      <color rgb="FFC00000"/>
      <name val="Arial"/>
      <family val="2"/>
    </font>
    <font>
      <b/>
      <sz val="12"/>
      <color rgb="FF00B0F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/>
      <bottom/>
      <diagonal/>
    </border>
    <border>
      <left/>
      <right/>
      <top/>
      <bottom style="thick">
        <color rgb="FF0000FF"/>
      </bottom>
      <diagonal/>
    </border>
    <border>
      <left/>
      <right/>
      <top/>
      <bottom style="thin">
        <color theme="2"/>
      </bottom>
      <diagonal/>
    </border>
    <border>
      <left style="medium">
        <color indexed="64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 style="thick">
        <color rgb="FF0000FF"/>
      </top>
      <bottom style="thick">
        <color rgb="FF7030A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 horizontal="center"/>
    </xf>
    <xf numFmtId="4" fontId="5" fillId="0" borderId="1" xfId="0" applyNumberFormat="1" applyFont="1" applyBorder="1"/>
    <xf numFmtId="4" fontId="6" fillId="0" borderId="0" xfId="0" applyNumberFormat="1" applyFont="1"/>
    <xf numFmtId="0" fontId="7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8" fillId="0" borderId="0" xfId="0" applyNumberFormat="1" applyFont="1"/>
    <xf numFmtId="4" fontId="9" fillId="0" borderId="0" xfId="0" applyNumberFormat="1" applyFont="1"/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5" fillId="0" borderId="0" xfId="0" applyNumberFormat="1" applyFont="1"/>
    <xf numFmtId="4" fontId="13" fillId="0" borderId="0" xfId="0" applyNumberFormat="1" applyFont="1" applyAlignment="1">
      <alignment horizontal="center"/>
    </xf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14" fillId="2" borderId="1" xfId="0" applyNumberFormat="1" applyFont="1" applyFill="1" applyBorder="1"/>
    <xf numFmtId="4" fontId="14" fillId="3" borderId="1" xfId="0" applyNumberFormat="1" applyFont="1" applyFill="1" applyBorder="1"/>
    <xf numFmtId="4" fontId="0" fillId="2" borderId="1" xfId="0" applyNumberFormat="1" applyFill="1" applyBorder="1"/>
    <xf numFmtId="4" fontId="4" fillId="3" borderId="1" xfId="0" applyNumberFormat="1" applyFont="1" applyFill="1" applyBorder="1"/>
    <xf numFmtId="4" fontId="16" fillId="0" borderId="0" xfId="1" applyNumberFormat="1" applyFont="1" applyAlignment="1" applyProtection="1"/>
    <xf numFmtId="4" fontId="17" fillId="0" borderId="4" xfId="0" applyNumberFormat="1" applyFont="1" applyBorder="1"/>
    <xf numFmtId="4" fontId="14" fillId="4" borderId="2" xfId="0" applyNumberFormat="1" applyFont="1" applyFill="1" applyBorder="1"/>
    <xf numFmtId="4" fontId="17" fillId="0" borderId="5" xfId="0" applyNumberFormat="1" applyFont="1" applyBorder="1"/>
    <xf numFmtId="4" fontId="0" fillId="5" borderId="0" xfId="0" applyNumberFormat="1" applyFill="1" applyBorder="1"/>
    <xf numFmtId="4" fontId="30" fillId="0" borderId="0" xfId="0" applyNumberFormat="1" applyFont="1"/>
    <xf numFmtId="4" fontId="31" fillId="0" borderId="6" xfId="0" applyNumberFormat="1" applyFont="1" applyBorder="1"/>
    <xf numFmtId="2" fontId="31" fillId="0" borderId="6" xfId="0" applyNumberFormat="1" applyFont="1" applyBorder="1"/>
    <xf numFmtId="4" fontId="17" fillId="0" borderId="0" xfId="0" applyNumberFormat="1" applyFont="1"/>
    <xf numFmtId="4" fontId="19" fillId="0" borderId="0" xfId="0" applyNumberFormat="1" applyFont="1" applyAlignment="1">
      <alignment wrapText="1"/>
    </xf>
    <xf numFmtId="4" fontId="20" fillId="0" borderId="0" xfId="0" applyNumberFormat="1" applyFont="1"/>
    <xf numFmtId="4" fontId="32" fillId="0" borderId="0" xfId="0" applyNumberFormat="1" applyFont="1"/>
    <xf numFmtId="4" fontId="33" fillId="0" borderId="0" xfId="0" applyNumberFormat="1" applyFont="1"/>
    <xf numFmtId="4" fontId="19" fillId="0" borderId="0" xfId="0" applyNumberFormat="1" applyFont="1"/>
    <xf numFmtId="4" fontId="34" fillId="0" borderId="0" xfId="0" applyNumberFormat="1" applyFont="1"/>
    <xf numFmtId="4" fontId="0" fillId="0" borderId="15" xfId="0" applyNumberFormat="1" applyBorder="1"/>
    <xf numFmtId="4" fontId="18" fillId="0" borderId="0" xfId="0" applyNumberFormat="1" applyFont="1"/>
    <xf numFmtId="4" fontId="23" fillId="0" borderId="0" xfId="0" applyNumberFormat="1" applyFont="1"/>
    <xf numFmtId="4" fontId="15" fillId="0" borderId="0" xfId="0" applyNumberFormat="1" applyFont="1"/>
    <xf numFmtId="4" fontId="3" fillId="0" borderId="0" xfId="1" applyNumberFormat="1" applyAlignment="1" applyProtection="1"/>
    <xf numFmtId="4" fontId="17" fillId="0" borderId="2" xfId="0" applyNumberFormat="1" applyFont="1" applyBorder="1"/>
    <xf numFmtId="4" fontId="12" fillId="0" borderId="7" xfId="0" applyNumberFormat="1" applyFont="1" applyBorder="1"/>
    <xf numFmtId="4" fontId="12" fillId="0" borderId="0" xfId="0" applyNumberFormat="1" applyFont="1" applyBorder="1"/>
    <xf numFmtId="3" fontId="5" fillId="0" borderId="16" xfId="0" applyNumberFormat="1" applyFont="1" applyBorder="1"/>
    <xf numFmtId="4" fontId="35" fillId="0" borderId="0" xfId="0" applyNumberFormat="1" applyFont="1"/>
    <xf numFmtId="4" fontId="12" fillId="0" borderId="0" xfId="0" applyNumberFormat="1" applyFont="1" applyAlignment="1">
      <alignment horizontal="right"/>
    </xf>
    <xf numFmtId="4" fontId="36" fillId="0" borderId="0" xfId="0" applyNumberFormat="1" applyFont="1"/>
    <xf numFmtId="4" fontId="37" fillId="0" borderId="0" xfId="0" applyNumberFormat="1" applyFont="1"/>
    <xf numFmtId="4" fontId="12" fillId="0" borderId="0" xfId="0" applyNumberFormat="1" applyFont="1"/>
    <xf numFmtId="4" fontId="38" fillId="0" borderId="0" xfId="0" applyNumberFormat="1" applyFont="1"/>
    <xf numFmtId="0" fontId="12" fillId="0" borderId="0" xfId="0" applyFont="1" applyAlignment="1">
      <alignment horizontal="left"/>
    </xf>
    <xf numFmtId="4" fontId="39" fillId="0" borderId="0" xfId="0" applyNumberFormat="1" applyFont="1" applyBorder="1"/>
    <xf numFmtId="0" fontId="12" fillId="0" borderId="0" xfId="0" applyFont="1" applyBorder="1" applyAlignment="1">
      <alignment horizontal="left"/>
    </xf>
    <xf numFmtId="4" fontId="10" fillId="0" borderId="0" xfId="0" applyNumberFormat="1" applyFont="1" applyBorder="1"/>
    <xf numFmtId="0" fontId="4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2" fillId="5" borderId="8" xfId="0" applyNumberFormat="1" applyFont="1" applyFill="1" applyBorder="1"/>
    <xf numFmtId="4" fontId="2" fillId="5" borderId="9" xfId="0" applyNumberFormat="1" applyFont="1" applyFill="1" applyBorder="1"/>
    <xf numFmtId="4" fontId="2" fillId="4" borderId="5" xfId="0" applyNumberFormat="1" applyFont="1" applyFill="1" applyBorder="1"/>
    <xf numFmtId="4" fontId="2" fillId="4" borderId="7" xfId="0" applyNumberFormat="1" applyFont="1" applyFill="1" applyBorder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horizontal="center"/>
    </xf>
    <xf numFmtId="0" fontId="0" fillId="0" borderId="15" xfId="0" applyBorder="1"/>
    <xf numFmtId="0" fontId="12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6" borderId="0" xfId="0" applyNumberFormat="1" applyFont="1" applyFill="1"/>
    <xf numFmtId="4" fontId="0" fillId="7" borderId="0" xfId="0" applyNumberFormat="1" applyFill="1"/>
    <xf numFmtId="4" fontId="41" fillId="0" borderId="8" xfId="0" applyNumberFormat="1" applyFont="1" applyBorder="1"/>
    <xf numFmtId="4" fontId="33" fillId="0" borderId="17" xfId="0" applyNumberFormat="1" applyFont="1" applyBorder="1"/>
    <xf numFmtId="4" fontId="12" fillId="5" borderId="0" xfId="0" applyNumberFormat="1" applyFont="1" applyFill="1" applyBorder="1"/>
    <xf numFmtId="4" fontId="42" fillId="0" borderId="9" xfId="0" applyNumberFormat="1" applyFont="1" applyBorder="1"/>
    <xf numFmtId="4" fontId="43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left"/>
    </xf>
    <xf numFmtId="4" fontId="45" fillId="0" borderId="0" xfId="0" applyNumberFormat="1" applyFont="1"/>
    <xf numFmtId="0" fontId="45" fillId="0" borderId="0" xfId="0" applyFont="1" applyAlignment="1">
      <alignment horizontal="left"/>
    </xf>
    <xf numFmtId="4" fontId="46" fillId="0" borderId="0" xfId="0" applyNumberFormat="1" applyFont="1"/>
    <xf numFmtId="4" fontId="47" fillId="0" borderId="0" xfId="0" applyNumberFormat="1" applyFont="1"/>
    <xf numFmtId="4" fontId="48" fillId="8" borderId="0" xfId="0" applyNumberFormat="1" applyFont="1" applyFill="1" applyAlignment="1">
      <alignment horizontal="left"/>
    </xf>
    <xf numFmtId="4" fontId="42" fillId="0" borderId="18" xfId="0" applyNumberFormat="1" applyFont="1" applyBorder="1"/>
    <xf numFmtId="4" fontId="37" fillId="0" borderId="19" xfId="0" applyNumberFormat="1" applyFont="1" applyBorder="1"/>
    <xf numFmtId="4" fontId="41" fillId="0" borderId="0" xfId="0" applyNumberFormat="1" applyFont="1"/>
    <xf numFmtId="4" fontId="41" fillId="0" borderId="3" xfId="0" applyNumberFormat="1" applyFont="1" applyBorder="1"/>
    <xf numFmtId="4" fontId="41" fillId="0" borderId="4" xfId="0" applyNumberFormat="1" applyFont="1" applyBorder="1"/>
    <xf numFmtId="4" fontId="41" fillId="0" borderId="9" xfId="0" applyNumberFormat="1" applyFont="1" applyBorder="1"/>
    <xf numFmtId="0" fontId="35" fillId="0" borderId="0" xfId="0" applyFont="1" applyAlignment="1">
      <alignment horizontal="left"/>
    </xf>
    <xf numFmtId="4" fontId="12" fillId="0" borderId="3" xfId="0" applyNumberFormat="1" applyFont="1" applyBorder="1"/>
    <xf numFmtId="4" fontId="26" fillId="0" borderId="0" xfId="0" applyNumberFormat="1" applyFont="1"/>
    <xf numFmtId="4" fontId="2" fillId="7" borderId="0" xfId="0" applyNumberFormat="1" applyFont="1" applyFill="1" applyBorder="1"/>
    <xf numFmtId="4" fontId="2" fillId="9" borderId="0" xfId="0" applyNumberFormat="1" applyFont="1" applyFill="1" applyBorder="1"/>
    <xf numFmtId="4" fontId="7" fillId="0" borderId="0" xfId="0" applyNumberFormat="1" applyFont="1"/>
    <xf numFmtId="4" fontId="6" fillId="10" borderId="20" xfId="0" applyNumberFormat="1" applyFont="1" applyFill="1" applyBorder="1"/>
    <xf numFmtId="4" fontId="49" fillId="0" borderId="0" xfId="0" applyNumberFormat="1" applyFont="1" applyBorder="1"/>
    <xf numFmtId="4" fontId="50" fillId="0" borderId="0" xfId="0" applyNumberFormat="1" applyFont="1" applyBorder="1"/>
    <xf numFmtId="3" fontId="51" fillId="10" borderId="20" xfId="0" applyNumberFormat="1" applyFont="1" applyFill="1" applyBorder="1"/>
    <xf numFmtId="4" fontId="2" fillId="11" borderId="10" xfId="0" applyNumberFormat="1" applyFont="1" applyFill="1" applyBorder="1"/>
    <xf numFmtId="4" fontId="2" fillId="11" borderId="11" xfId="0" applyNumberFormat="1" applyFont="1" applyFill="1" applyBorder="1" applyAlignment="1">
      <alignment horizontal="center"/>
    </xf>
    <xf numFmtId="4" fontId="2" fillId="11" borderId="12" xfId="0" applyNumberFormat="1" applyFont="1" applyFill="1" applyBorder="1"/>
    <xf numFmtId="4" fontId="34" fillId="11" borderId="6" xfId="0" applyNumberFormat="1" applyFont="1" applyFill="1" applyBorder="1"/>
    <xf numFmtId="4" fontId="33" fillId="11" borderId="6" xfId="0" applyNumberFormat="1" applyFont="1" applyFill="1" applyBorder="1"/>
    <xf numFmtId="4" fontId="2" fillId="12" borderId="3" xfId="0" applyNumberFormat="1" applyFont="1" applyFill="1" applyBorder="1"/>
    <xf numFmtId="4" fontId="2" fillId="12" borderId="21" xfId="0" applyNumberFormat="1" applyFont="1" applyFill="1" applyBorder="1" applyAlignment="1">
      <alignment horizontal="center"/>
    </xf>
    <xf numFmtId="4" fontId="2" fillId="12" borderId="4" xfId="0" applyNumberFormat="1" applyFont="1" applyFill="1" applyBorder="1"/>
    <xf numFmtId="4" fontId="14" fillId="12" borderId="1" xfId="0" applyNumberFormat="1" applyFont="1" applyFill="1" applyBorder="1"/>
    <xf numFmtId="4" fontId="33" fillId="0" borderId="13" xfId="0" applyNumberFormat="1" applyFont="1" applyBorder="1"/>
    <xf numFmtId="4" fontId="52" fillId="10" borderId="6" xfId="0" applyNumberFormat="1" applyFont="1" applyFill="1" applyBorder="1"/>
    <xf numFmtId="4" fontId="53" fillId="10" borderId="6" xfId="0" applyNumberFormat="1" applyFont="1" applyFill="1" applyBorder="1"/>
    <xf numFmtId="4" fontId="0" fillId="0" borderId="13" xfId="0" applyNumberFormat="1" applyBorder="1"/>
    <xf numFmtId="4" fontId="53" fillId="0" borderId="0" xfId="0" applyNumberFormat="1" applyFont="1"/>
    <xf numFmtId="4" fontId="54" fillId="0" borderId="0" xfId="0" applyNumberFormat="1" applyFont="1"/>
    <xf numFmtId="4" fontId="12" fillId="9" borderId="22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4" fontId="55" fillId="0" borderId="0" xfId="0" applyNumberFormat="1" applyFont="1" applyBorder="1" applyAlignment="1">
      <alignment horizontal="center"/>
    </xf>
    <xf numFmtId="4" fontId="56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164" fontId="51" fillId="10" borderId="20" xfId="0" applyNumberFormat="1" applyFont="1" applyFill="1" applyBorder="1"/>
    <xf numFmtId="0" fontId="35" fillId="10" borderId="23" xfId="0" applyFont="1" applyFill="1" applyBorder="1"/>
    <xf numFmtId="0" fontId="35" fillId="10" borderId="20" xfId="0" applyFont="1" applyFill="1" applyBorder="1"/>
    <xf numFmtId="4" fontId="7" fillId="0" borderId="16" xfId="0" applyNumberFormat="1" applyFont="1" applyFill="1" applyBorder="1"/>
    <xf numFmtId="0" fontId="7" fillId="0" borderId="0" xfId="0" applyFont="1" applyFill="1"/>
    <xf numFmtId="4" fontId="12" fillId="9" borderId="14" xfId="0" applyNumberFormat="1" applyFont="1" applyFill="1" applyBorder="1" applyAlignment="1">
      <alignment horizontal="center"/>
    </xf>
    <xf numFmtId="4" fontId="12" fillId="6" borderId="14" xfId="0" applyNumberFormat="1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4" fontId="2" fillId="0" borderId="6" xfId="0" applyNumberFormat="1" applyFont="1" applyBorder="1"/>
    <xf numFmtId="4" fontId="57" fillId="10" borderId="20" xfId="0" applyNumberFormat="1" applyFont="1" applyFill="1" applyBorder="1"/>
    <xf numFmtId="4" fontId="58" fillId="10" borderId="20" xfId="0" applyNumberFormat="1" applyFont="1" applyFill="1" applyBorder="1"/>
    <xf numFmtId="4" fontId="59" fillId="10" borderId="20" xfId="0" applyNumberFormat="1" applyFont="1" applyFill="1" applyBorder="1"/>
    <xf numFmtId="4" fontId="7" fillId="11" borderId="6" xfId="0" applyNumberFormat="1" applyFont="1" applyFill="1" applyBorder="1"/>
    <xf numFmtId="164" fontId="33" fillId="11" borderId="14" xfId="0" applyNumberFormat="1" applyFont="1" applyFill="1" applyBorder="1"/>
    <xf numFmtId="164" fontId="39" fillId="11" borderId="14" xfId="0" applyNumberFormat="1" applyFont="1" applyFill="1" applyBorder="1"/>
    <xf numFmtId="165" fontId="33" fillId="11" borderId="14" xfId="0" applyNumberFormat="1" applyFont="1" applyFill="1" applyBorder="1"/>
    <xf numFmtId="166" fontId="33" fillId="11" borderId="14" xfId="0" applyNumberFormat="1" applyFont="1" applyFill="1" applyBorder="1"/>
    <xf numFmtId="4" fontId="57" fillId="12" borderId="1" xfId="0" applyNumberFormat="1" applyFont="1" applyFill="1" applyBorder="1"/>
    <xf numFmtId="4" fontId="2" fillId="0" borderId="0" xfId="0" applyNumberFormat="1" applyFont="1" applyAlignment="1">
      <alignment horizontal="left"/>
    </xf>
    <xf numFmtId="4" fontId="46" fillId="0" borderId="6" xfId="0" applyNumberFormat="1" applyFont="1" applyBorder="1" applyAlignment="1">
      <alignment horizontal="left"/>
    </xf>
    <xf numFmtId="4" fontId="60" fillId="10" borderId="6" xfId="0" applyNumberFormat="1" applyFon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61</xdr:row>
      <xdr:rowOff>85725</xdr:rowOff>
    </xdr:from>
    <xdr:to>
      <xdr:col>3</xdr:col>
      <xdr:colOff>1171575</xdr:colOff>
      <xdr:row>61</xdr:row>
      <xdr:rowOff>95250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A6777A09-392F-4A5E-ADC0-71BF75ACEC21}"/>
            </a:ext>
          </a:extLst>
        </xdr:cNvPr>
        <xdr:cNvSpPr>
          <a:spLocks noChangeShapeType="1"/>
        </xdr:cNvSpPr>
      </xdr:nvSpPr>
      <xdr:spPr bwMode="auto">
        <a:xfrm>
          <a:off x="4114800" y="11439525"/>
          <a:ext cx="11239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1085850</xdr:colOff>
      <xdr:row>23</xdr:row>
      <xdr:rowOff>171450</xdr:rowOff>
    </xdr:from>
    <xdr:to>
      <xdr:col>5</xdr:col>
      <xdr:colOff>1095375</xdr:colOff>
      <xdr:row>56</xdr:row>
      <xdr:rowOff>114300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F449EB33-9682-4608-AF0E-C8736D806F62}"/>
            </a:ext>
          </a:extLst>
        </xdr:cNvPr>
        <xdr:cNvSpPr>
          <a:spLocks noChangeShapeType="1"/>
        </xdr:cNvSpPr>
      </xdr:nvSpPr>
      <xdr:spPr bwMode="auto">
        <a:xfrm flipV="1">
          <a:off x="6981825" y="4495800"/>
          <a:ext cx="2266950" cy="6115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ptak@vld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0"/>
  <sheetViews>
    <sheetView tabSelected="1" zoomScaleNormal="100" workbookViewId="0">
      <selection activeCell="F22" sqref="F22"/>
    </sheetView>
  </sheetViews>
  <sheetFormatPr defaultRowHeight="13.2" x14ac:dyDescent="0.25"/>
  <cols>
    <col min="1" max="1" width="3.44140625" customWidth="1"/>
    <col min="2" max="2" width="32.109375" style="1" customWidth="1"/>
    <col min="3" max="3" width="25.44140625" style="1" customWidth="1"/>
    <col min="4" max="4" width="27.44140625" style="1" customWidth="1"/>
    <col min="5" max="5" width="33.88671875" style="1" customWidth="1"/>
    <col min="6" max="6" width="38.33203125" style="1" customWidth="1"/>
    <col min="7" max="7" width="17.6640625" style="1" customWidth="1"/>
    <col min="8" max="8" width="10.6640625" style="1" customWidth="1"/>
    <col min="9" max="9" width="10.44140625" style="1" bestFit="1" customWidth="1"/>
  </cols>
  <sheetData>
    <row r="1" spans="1:7" ht="17.399999999999999" x14ac:dyDescent="0.3">
      <c r="B1" s="46" t="s">
        <v>126</v>
      </c>
      <c r="F1" s="56" t="s">
        <v>110</v>
      </c>
      <c r="G1" s="101" t="s">
        <v>109</v>
      </c>
    </row>
    <row r="2" spans="1:7" x14ac:dyDescent="0.25">
      <c r="B2" s="56" t="s">
        <v>115</v>
      </c>
      <c r="F2" s="47" t="s">
        <v>113</v>
      </c>
      <c r="G2" s="92" t="s">
        <v>114</v>
      </c>
    </row>
    <row r="3" spans="1:7" x14ac:dyDescent="0.25">
      <c r="A3" s="73"/>
      <c r="B3" s="42" t="s">
        <v>90</v>
      </c>
    </row>
    <row r="4" spans="1:7" ht="18" thickBot="1" x14ac:dyDescent="0.35">
      <c r="B4" s="85" t="s">
        <v>76</v>
      </c>
      <c r="C4" s="2"/>
      <c r="D4" s="2"/>
      <c r="E4" s="2"/>
      <c r="F4" s="28"/>
    </row>
    <row r="5" spans="1:7" x14ac:dyDescent="0.25">
      <c r="B5" s="106" t="s">
        <v>26</v>
      </c>
      <c r="C5" s="107" t="s">
        <v>31</v>
      </c>
      <c r="D5" s="107" t="s">
        <v>32</v>
      </c>
      <c r="E5" s="108" t="s">
        <v>26</v>
      </c>
      <c r="F5" s="89" t="s">
        <v>59</v>
      </c>
    </row>
    <row r="6" spans="1:7" ht="16.2" thickBot="1" x14ac:dyDescent="0.35">
      <c r="B6" s="111" t="s">
        <v>27</v>
      </c>
      <c r="C6" s="112" t="s">
        <v>25</v>
      </c>
      <c r="D6" s="112" t="s">
        <v>33</v>
      </c>
      <c r="E6" s="113" t="s">
        <v>27</v>
      </c>
      <c r="F6" s="45" t="s">
        <v>46</v>
      </c>
    </row>
    <row r="7" spans="1:7" ht="16.8" thickTop="1" thickBot="1" x14ac:dyDescent="0.35">
      <c r="B7" s="93" t="s">
        <v>78</v>
      </c>
      <c r="C7" s="140">
        <v>7000</v>
      </c>
      <c r="D7" s="140">
        <v>7000</v>
      </c>
      <c r="E7" s="94" t="s">
        <v>78</v>
      </c>
      <c r="F7" s="45" t="s">
        <v>47</v>
      </c>
      <c r="G7" s="92" t="s">
        <v>89</v>
      </c>
    </row>
    <row r="8" spans="1:7" ht="16.8" thickTop="1" thickBot="1" x14ac:dyDescent="0.35">
      <c r="B8" s="93" t="s">
        <v>19</v>
      </c>
      <c r="C8" s="140">
        <v>3000</v>
      </c>
      <c r="D8" s="140">
        <v>3000</v>
      </c>
      <c r="E8" s="94" t="s">
        <v>19</v>
      </c>
      <c r="F8" s="45" t="s">
        <v>48</v>
      </c>
      <c r="G8" s="92"/>
    </row>
    <row r="9" spans="1:7" ht="16.8" thickTop="1" thickBot="1" x14ac:dyDescent="0.35">
      <c r="B9" s="93" t="s">
        <v>20</v>
      </c>
      <c r="C9" s="141">
        <v>25000</v>
      </c>
      <c r="D9" s="141">
        <v>25000</v>
      </c>
      <c r="E9" s="94" t="s">
        <v>20</v>
      </c>
      <c r="F9" s="45" t="s">
        <v>49</v>
      </c>
    </row>
    <row r="10" spans="1:7" ht="14.4" thickTop="1" thickBot="1" x14ac:dyDescent="0.3">
      <c r="B10" s="93" t="s">
        <v>21</v>
      </c>
      <c r="C10" s="102">
        <v>16600</v>
      </c>
      <c r="D10" s="102">
        <v>16600</v>
      </c>
      <c r="E10" s="94" t="s">
        <v>21</v>
      </c>
    </row>
    <row r="11" spans="1:7" ht="13.8" thickTop="1" x14ac:dyDescent="0.25">
      <c r="B11" s="111" t="s">
        <v>22</v>
      </c>
      <c r="C11" s="114">
        <f>SUM(C7:C10)</f>
        <v>51600</v>
      </c>
      <c r="D11" s="114">
        <f>SUM(D7:D10)</f>
        <v>51600</v>
      </c>
      <c r="E11" s="113" t="s">
        <v>22</v>
      </c>
    </row>
    <row r="12" spans="1:7" ht="13.8" thickBot="1" x14ac:dyDescent="0.3">
      <c r="B12" s="20" t="s">
        <v>28</v>
      </c>
      <c r="C12" s="26"/>
      <c r="D12" s="26"/>
      <c r="E12" s="21" t="s">
        <v>28</v>
      </c>
    </row>
    <row r="13" spans="1:7" ht="14.4" thickTop="1" thickBot="1" x14ac:dyDescent="0.3">
      <c r="B13" s="93" t="s">
        <v>0</v>
      </c>
      <c r="C13" s="102">
        <v>8400</v>
      </c>
      <c r="D13" s="102">
        <v>8400</v>
      </c>
      <c r="E13" s="94" t="s">
        <v>0</v>
      </c>
    </row>
    <row r="14" spans="1:7" ht="14.4" thickTop="1" thickBot="1" x14ac:dyDescent="0.3">
      <c r="B14" s="93" t="s">
        <v>56</v>
      </c>
      <c r="C14" s="102">
        <v>3000</v>
      </c>
      <c r="D14" s="102">
        <v>3000</v>
      </c>
      <c r="E14" s="94" t="s">
        <v>1</v>
      </c>
    </row>
    <row r="15" spans="1:7" ht="14.4" thickTop="1" thickBot="1" x14ac:dyDescent="0.3">
      <c r="B15" s="93" t="s">
        <v>2</v>
      </c>
      <c r="C15" s="102">
        <v>2000</v>
      </c>
      <c r="D15" s="102">
        <v>2000</v>
      </c>
      <c r="E15" s="94" t="s">
        <v>2</v>
      </c>
    </row>
    <row r="16" spans="1:7" ht="14.4" thickTop="1" thickBot="1" x14ac:dyDescent="0.3">
      <c r="B16" s="93" t="s">
        <v>3</v>
      </c>
      <c r="C16" s="102">
        <v>4400</v>
      </c>
      <c r="D16" s="102">
        <v>4400</v>
      </c>
      <c r="E16" s="94" t="s">
        <v>3</v>
      </c>
    </row>
    <row r="17" spans="2:7" ht="14.4" thickTop="1" thickBot="1" x14ac:dyDescent="0.3">
      <c r="B17" s="93" t="s">
        <v>4</v>
      </c>
      <c r="C17" s="102">
        <v>1500</v>
      </c>
      <c r="D17" s="102">
        <v>1500</v>
      </c>
      <c r="E17" s="94" t="s">
        <v>4</v>
      </c>
    </row>
    <row r="18" spans="2:7" ht="14.4" thickTop="1" thickBot="1" x14ac:dyDescent="0.3">
      <c r="B18" s="93" t="s">
        <v>5</v>
      </c>
      <c r="C18" s="102">
        <v>2000</v>
      </c>
      <c r="D18" s="102">
        <v>2000</v>
      </c>
      <c r="E18" s="94" t="s">
        <v>5</v>
      </c>
    </row>
    <row r="19" spans="2:7" ht="14.4" thickTop="1" thickBot="1" x14ac:dyDescent="0.3">
      <c r="B19" s="93" t="s">
        <v>6</v>
      </c>
      <c r="C19" s="102">
        <v>1500</v>
      </c>
      <c r="D19" s="102">
        <v>1500</v>
      </c>
      <c r="E19" s="94" t="s">
        <v>6</v>
      </c>
      <c r="F19" s="92"/>
    </row>
    <row r="20" spans="2:7" ht="14.4" thickTop="1" thickBot="1" x14ac:dyDescent="0.3">
      <c r="B20" s="93" t="s">
        <v>7</v>
      </c>
      <c r="C20" s="102">
        <v>1000</v>
      </c>
      <c r="D20" s="102">
        <v>1000</v>
      </c>
      <c r="E20" s="94" t="s">
        <v>7</v>
      </c>
    </row>
    <row r="21" spans="2:7" ht="16.2" thickTop="1" x14ac:dyDescent="0.3">
      <c r="B21" s="111" t="s">
        <v>87</v>
      </c>
      <c r="C21" s="147">
        <f>C11/6</f>
        <v>8600</v>
      </c>
      <c r="D21" s="147">
        <f>D11/6</f>
        <v>8600</v>
      </c>
      <c r="E21" s="113" t="s">
        <v>88</v>
      </c>
      <c r="F21" s="56" t="s">
        <v>127</v>
      </c>
    </row>
    <row r="22" spans="2:7" x14ac:dyDescent="0.25">
      <c r="B22" s="20" t="s">
        <v>23</v>
      </c>
      <c r="C22" s="24">
        <f>SUM(C13:C21)</f>
        <v>32400</v>
      </c>
      <c r="D22" s="24">
        <f>SUM(D13:D21)</f>
        <v>32400</v>
      </c>
      <c r="E22" s="21" t="s">
        <v>24</v>
      </c>
    </row>
    <row r="23" spans="2:7" x14ac:dyDescent="0.25">
      <c r="B23" s="22" t="s">
        <v>29</v>
      </c>
      <c r="C23" s="27"/>
      <c r="D23" s="27"/>
      <c r="E23" s="23" t="s">
        <v>29</v>
      </c>
    </row>
    <row r="24" spans="2:7" ht="13.5" customHeight="1" x14ac:dyDescent="0.25">
      <c r="B24" s="97" t="s">
        <v>122</v>
      </c>
      <c r="C24" s="3">
        <f>C56*1.352*12</f>
        <v>49231.465602600292</v>
      </c>
      <c r="D24" s="3">
        <f>D56*0.486</f>
        <v>23656.817053800001</v>
      </c>
      <c r="E24" s="29" t="s">
        <v>34</v>
      </c>
      <c r="F24" s="70" t="s">
        <v>57</v>
      </c>
    </row>
    <row r="25" spans="2:7" x14ac:dyDescent="0.25">
      <c r="B25" s="97" t="s">
        <v>123</v>
      </c>
      <c r="C25" s="3">
        <f>C48*1.352*12</f>
        <v>19163.892255581217</v>
      </c>
      <c r="D25" s="7">
        <f>C48*1.352*12</f>
        <v>19163.892255581217</v>
      </c>
      <c r="E25" s="29" t="s">
        <v>35</v>
      </c>
    </row>
    <row r="26" spans="2:7" x14ac:dyDescent="0.25">
      <c r="B26" s="22" t="s">
        <v>36</v>
      </c>
      <c r="C26" s="25">
        <f>SUM(C24:C25)</f>
        <v>68395.357858181509</v>
      </c>
      <c r="D26" s="25">
        <f>SUM(D24:D25)</f>
        <v>42820.709309381215</v>
      </c>
      <c r="E26" s="23" t="s">
        <v>36</v>
      </c>
    </row>
    <row r="27" spans="2:7" x14ac:dyDescent="0.25">
      <c r="B27" s="68" t="s">
        <v>37</v>
      </c>
      <c r="C27" s="30"/>
      <c r="D27" s="30"/>
      <c r="E27" s="69" t="s">
        <v>37</v>
      </c>
    </row>
    <row r="28" spans="2:7" ht="13.8" thickBot="1" x14ac:dyDescent="0.3">
      <c r="B28" s="31"/>
      <c r="C28" s="48"/>
      <c r="D28" s="4">
        <f>D61</f>
        <v>26400</v>
      </c>
      <c r="E28" s="49" t="s">
        <v>63</v>
      </c>
      <c r="F28" s="56" t="s">
        <v>62</v>
      </c>
    </row>
    <row r="29" spans="2:7" ht="16.8" thickTop="1" thickBot="1" x14ac:dyDescent="0.35">
      <c r="B29" s="79" t="s">
        <v>66</v>
      </c>
      <c r="C29" s="139">
        <v>15225</v>
      </c>
      <c r="D29" s="139">
        <v>15225</v>
      </c>
      <c r="E29" s="95" t="s">
        <v>64</v>
      </c>
      <c r="F29" s="101" t="s">
        <v>69</v>
      </c>
    </row>
    <row r="30" spans="2:7" ht="16.8" thickTop="1" thickBot="1" x14ac:dyDescent="0.35">
      <c r="B30" s="90" t="s">
        <v>67</v>
      </c>
      <c r="C30" s="91">
        <v>0</v>
      </c>
      <c r="D30" s="91">
        <v>0</v>
      </c>
      <c r="E30" s="82" t="s">
        <v>65</v>
      </c>
      <c r="F30" s="83" t="s">
        <v>61</v>
      </c>
    </row>
    <row r="31" spans="2:7" ht="14.4" thickTop="1" thickBot="1" x14ac:dyDescent="0.3">
      <c r="B31" s="66" t="s">
        <v>119</v>
      </c>
      <c r="C31" s="81">
        <f>0.21*(C29+C30)</f>
        <v>3197.25</v>
      </c>
      <c r="D31" s="32">
        <f>D60</f>
        <v>7051.5783000000001</v>
      </c>
      <c r="E31" s="67" t="s">
        <v>120</v>
      </c>
      <c r="F31" s="5"/>
    </row>
    <row r="32" spans="2:7" ht="13.8" thickBot="1" x14ac:dyDescent="0.3">
      <c r="B32" s="109" t="s">
        <v>30</v>
      </c>
      <c r="C32" s="109">
        <f>C22+C26+C29+C30+C31</f>
        <v>119217.60785818151</v>
      </c>
      <c r="D32" s="109">
        <f>D22+D26+D28+D29+D30+D31</f>
        <v>123897.28760938121</v>
      </c>
      <c r="E32" s="109" t="s">
        <v>30</v>
      </c>
      <c r="G32" s="56"/>
    </row>
    <row r="33" spans="2:6" ht="16.2" thickBot="1" x14ac:dyDescent="0.35">
      <c r="B33" s="138" t="s">
        <v>108</v>
      </c>
      <c r="C33" s="142">
        <f>C32/12</f>
        <v>9934.8006548484591</v>
      </c>
      <c r="D33" s="142">
        <f>D32/12</f>
        <v>10324.773967448435</v>
      </c>
      <c r="E33" s="138" t="s">
        <v>108</v>
      </c>
    </row>
    <row r="35" spans="2:6" x14ac:dyDescent="0.25">
      <c r="D35" s="12"/>
    </row>
    <row r="36" spans="2:6" ht="18" thickBot="1" x14ac:dyDescent="0.35">
      <c r="B36" s="33" t="s">
        <v>38</v>
      </c>
      <c r="C36" s="6" t="s">
        <v>16</v>
      </c>
    </row>
    <row r="37" spans="2:6" ht="16.2" thickBot="1" x14ac:dyDescent="0.35">
      <c r="B37" s="1" t="s">
        <v>9</v>
      </c>
      <c r="C37" s="34">
        <v>13.4</v>
      </c>
    </row>
    <row r="38" spans="2:6" ht="16.2" thickBot="1" x14ac:dyDescent="0.35">
      <c r="B38" s="1" t="s">
        <v>10</v>
      </c>
      <c r="C38" s="35">
        <v>35.200000000000003</v>
      </c>
    </row>
    <row r="39" spans="2:6" x14ac:dyDescent="0.25">
      <c r="B39" s="1" t="s">
        <v>11</v>
      </c>
      <c r="C39" s="18">
        <f>SUM(C37:C38)</f>
        <v>48.6</v>
      </c>
    </row>
    <row r="40" spans="2:6" ht="12.75" customHeight="1" thickBot="1" x14ac:dyDescent="0.3">
      <c r="C40" s="8"/>
    </row>
    <row r="41" spans="2:6" ht="17.25" customHeight="1" thickBot="1" x14ac:dyDescent="0.35">
      <c r="B41" s="36" t="s">
        <v>39</v>
      </c>
      <c r="C41" s="35">
        <v>48.6</v>
      </c>
      <c r="D41" s="36" t="s">
        <v>40</v>
      </c>
      <c r="F41" s="37"/>
    </row>
    <row r="42" spans="2:6" ht="14.25" customHeight="1" x14ac:dyDescent="0.25">
      <c r="F42" s="37" t="s">
        <v>41</v>
      </c>
    </row>
    <row r="45" spans="2:6" ht="17.399999999999999" x14ac:dyDescent="0.3">
      <c r="B45" s="85" t="s">
        <v>82</v>
      </c>
    </row>
    <row r="46" spans="2:6" ht="17.399999999999999" x14ac:dyDescent="0.3">
      <c r="B46" s="38"/>
    </row>
    <row r="47" spans="2:6" x14ac:dyDescent="0.25">
      <c r="C47" s="99" t="s">
        <v>60</v>
      </c>
      <c r="D47" s="78"/>
    </row>
    <row r="48" spans="2:6" ht="15.6" x14ac:dyDescent="0.3">
      <c r="B48" s="103" t="s">
        <v>118</v>
      </c>
      <c r="C48" s="104">
        <f>(C53-0.19*$F$52)/0.70146</f>
        <v>1181.2063767000257</v>
      </c>
      <c r="D48" s="2" t="s">
        <v>117</v>
      </c>
    </row>
    <row r="49" spans="2:7" ht="16.2" thickBot="1" x14ac:dyDescent="0.35">
      <c r="B49" s="1" t="s">
        <v>8</v>
      </c>
      <c r="C49" s="1">
        <f>ROUND($C$48*($C$37/100),2.2)</f>
        <v>158.28</v>
      </c>
      <c r="F49" s="39" t="s">
        <v>58</v>
      </c>
    </row>
    <row r="50" spans="2:7" ht="16.2" thickBot="1" x14ac:dyDescent="0.35">
      <c r="B50" s="1" t="s">
        <v>12</v>
      </c>
      <c r="C50" s="87">
        <f>$F$50/12</f>
        <v>375.95250000000004</v>
      </c>
      <c r="D50" s="36" t="s">
        <v>42</v>
      </c>
      <c r="F50" s="150">
        <v>4511.43</v>
      </c>
      <c r="G50" s="56" t="s">
        <v>121</v>
      </c>
    </row>
    <row r="51" spans="2:7" ht="13.8" thickBot="1" x14ac:dyDescent="0.3">
      <c r="B51" s="1" t="s">
        <v>13</v>
      </c>
      <c r="C51" s="1">
        <f>$C$48-$C$49-$C$50</f>
        <v>646.97387670002558</v>
      </c>
      <c r="F51" s="148" t="s">
        <v>116</v>
      </c>
    </row>
    <row r="52" spans="2:7" ht="13.8" thickBot="1" x14ac:dyDescent="0.3">
      <c r="B52" s="1" t="s">
        <v>14</v>
      </c>
      <c r="C52" s="118">
        <f>ROUND($C$51*0.19,2.2)</f>
        <v>122.93</v>
      </c>
      <c r="F52" s="149">
        <f>F50/12</f>
        <v>375.95250000000004</v>
      </c>
    </row>
    <row r="53" spans="2:7" ht="16.2" thickBot="1" x14ac:dyDescent="0.35">
      <c r="B53" s="119" t="s">
        <v>85</v>
      </c>
      <c r="C53" s="116">
        <v>900</v>
      </c>
    </row>
    <row r="54" spans="2:7" x14ac:dyDescent="0.25">
      <c r="B54" s="2" t="s">
        <v>79</v>
      </c>
      <c r="C54" s="2">
        <f>C48*1.352</f>
        <v>1596.9910212984348</v>
      </c>
    </row>
    <row r="55" spans="2:7" x14ac:dyDescent="0.25">
      <c r="B55" s="56" t="s">
        <v>124</v>
      </c>
      <c r="C55" s="100" t="s">
        <v>68</v>
      </c>
      <c r="D55" s="77" t="s">
        <v>15</v>
      </c>
    </row>
    <row r="56" spans="2:7" ht="15.6" x14ac:dyDescent="0.3">
      <c r="B56" s="103">
        <v>0</v>
      </c>
      <c r="C56" s="104">
        <f>(C62-0.19*$F$52)/0.70146</f>
        <v>3034.4838265902545</v>
      </c>
      <c r="D56" s="42">
        <f>D61+D29+D30+D60</f>
        <v>48676.578300000001</v>
      </c>
      <c r="E56" s="56" t="s">
        <v>70</v>
      </c>
    </row>
    <row r="57" spans="2:7" x14ac:dyDescent="0.25">
      <c r="B57" s="1" t="s">
        <v>8</v>
      </c>
      <c r="C57" s="1">
        <f>ROUND($C$56*($C$37/100),2.2)</f>
        <v>406.62</v>
      </c>
      <c r="D57" s="1">
        <f>D24</f>
        <v>23656.817053800001</v>
      </c>
      <c r="E57" s="50" t="s">
        <v>71</v>
      </c>
      <c r="F57" s="70" t="s">
        <v>72</v>
      </c>
    </row>
    <row r="58" spans="2:7" x14ac:dyDescent="0.25">
      <c r="B58" s="1" t="s">
        <v>12</v>
      </c>
      <c r="C58" s="87">
        <f>$F$50/12</f>
        <v>375.95250000000004</v>
      </c>
      <c r="D58" s="88">
        <f>F50</f>
        <v>4511.43</v>
      </c>
      <c r="E58" s="36" t="s">
        <v>43</v>
      </c>
    </row>
    <row r="59" spans="2:7" x14ac:dyDescent="0.25">
      <c r="B59" s="1" t="s">
        <v>13</v>
      </c>
      <c r="C59" s="1">
        <f>$C$56-$C$57-$C$58</f>
        <v>2251.9113265902547</v>
      </c>
      <c r="D59" s="1">
        <f>D56-D58</f>
        <v>44165.148300000001</v>
      </c>
      <c r="E59" s="56" t="s">
        <v>74</v>
      </c>
    </row>
    <row r="60" spans="2:7" x14ac:dyDescent="0.25">
      <c r="B60" s="1" t="s">
        <v>14</v>
      </c>
      <c r="C60" s="1">
        <f>ROUND($C$59*0.19,2.2)</f>
        <v>427.86</v>
      </c>
      <c r="D60" s="1">
        <f>0.19*(D61+D29+D30-D58)</f>
        <v>7051.5783000000001</v>
      </c>
      <c r="E60" s="56" t="s">
        <v>73</v>
      </c>
      <c r="F60" s="41" t="s">
        <v>44</v>
      </c>
    </row>
    <row r="61" spans="2:7" ht="16.2" thickBot="1" x14ac:dyDescent="0.35">
      <c r="B61" s="40"/>
      <c r="C61" s="115"/>
      <c r="D61" s="2">
        <f>D62*12</f>
        <v>26400</v>
      </c>
      <c r="E61" s="36" t="s">
        <v>45</v>
      </c>
    </row>
    <row r="62" spans="2:7" ht="16.2" thickBot="1" x14ac:dyDescent="0.35">
      <c r="B62" s="119" t="s">
        <v>84</v>
      </c>
      <c r="C62" s="117">
        <v>2200</v>
      </c>
      <c r="D62" s="80">
        <f>C62</f>
        <v>2200</v>
      </c>
      <c r="E62" s="42" t="s">
        <v>75</v>
      </c>
    </row>
    <row r="63" spans="2:7" x14ac:dyDescent="0.25">
      <c r="B63" s="98" t="s">
        <v>80</v>
      </c>
      <c r="C63" s="2">
        <f>C56*1.352</f>
        <v>4102.622133550024</v>
      </c>
      <c r="E63" s="56"/>
      <c r="F63" s="10"/>
    </row>
    <row r="64" spans="2:7" ht="13.8" thickBot="1" x14ac:dyDescent="0.3">
      <c r="B64" s="56" t="s">
        <v>125</v>
      </c>
      <c r="D64" s="19"/>
      <c r="E64" s="19"/>
    </row>
    <row r="65" spans="1:9" ht="16.2" thickBot="1" x14ac:dyDescent="0.35">
      <c r="B65" s="101" t="s">
        <v>83</v>
      </c>
      <c r="C65" s="110">
        <f>C54+C63</f>
        <v>5699.6131548484591</v>
      </c>
    </row>
    <row r="66" spans="1:9" x14ac:dyDescent="0.25">
      <c r="B66" s="56" t="s">
        <v>86</v>
      </c>
    </row>
    <row r="68" spans="1:9" ht="17.399999999999999" x14ac:dyDescent="0.3">
      <c r="B68" s="85"/>
      <c r="E68" s="12"/>
      <c r="F68" s="10"/>
    </row>
    <row r="69" spans="1:9" x14ac:dyDescent="0.25">
      <c r="B69" s="44"/>
      <c r="D69" s="12"/>
      <c r="E69" s="126"/>
      <c r="F69" s="84"/>
    </row>
    <row r="70" spans="1:9" x14ac:dyDescent="0.25">
      <c r="D70" s="71"/>
      <c r="E70" s="127"/>
      <c r="G70" s="2"/>
      <c r="H70" s="2"/>
    </row>
    <row r="71" spans="1:9" ht="17.399999999999999" x14ac:dyDescent="0.3">
      <c r="B71" s="85" t="s">
        <v>102</v>
      </c>
      <c r="C71" s="12"/>
      <c r="E71" s="134" t="s">
        <v>50</v>
      </c>
      <c r="F71" s="135" t="s">
        <v>32</v>
      </c>
      <c r="G71" s="56"/>
    </row>
    <row r="72" spans="1:9" x14ac:dyDescent="0.25">
      <c r="B72" s="50"/>
      <c r="C72" s="12"/>
      <c r="E72" s="15"/>
      <c r="I72" s="2"/>
    </row>
    <row r="73" spans="1:9" ht="13.8" thickBot="1" x14ac:dyDescent="0.3">
      <c r="B73" s="13"/>
      <c r="C73" s="12"/>
      <c r="E73" s="51"/>
      <c r="I73" s="2"/>
    </row>
    <row r="74" spans="1:9" ht="16.8" thickTop="1" thickBot="1" x14ac:dyDescent="0.35">
      <c r="B74" s="52" t="s">
        <v>51</v>
      </c>
      <c r="D74" s="43"/>
      <c r="E74" s="105">
        <v>94500</v>
      </c>
      <c r="F74" s="53"/>
    </row>
    <row r="75" spans="1:9" ht="13.8" thickTop="1" x14ac:dyDescent="0.25">
      <c r="B75" s="54" t="s">
        <v>91</v>
      </c>
      <c r="F75" s="10"/>
    </row>
    <row r="76" spans="1:9" ht="15.6" x14ac:dyDescent="0.3">
      <c r="B76" s="55" t="s">
        <v>92</v>
      </c>
      <c r="E76" s="143">
        <f>C32/E74</f>
        <v>1.2615619879172646</v>
      </c>
      <c r="F76" s="143">
        <f>D32/E74</f>
        <v>1.3110824085648805</v>
      </c>
    </row>
    <row r="77" spans="1:9" x14ac:dyDescent="0.25">
      <c r="B77" s="56" t="s">
        <v>81</v>
      </c>
      <c r="C77" s="16"/>
      <c r="F77" s="10"/>
    </row>
    <row r="78" spans="1:9" x14ac:dyDescent="0.25">
      <c r="A78" s="11"/>
      <c r="B78" s="128"/>
      <c r="F78" s="10"/>
    </row>
    <row r="79" spans="1:9" ht="17.399999999999999" x14ac:dyDescent="0.3">
      <c r="A79" s="11"/>
      <c r="B79" s="85" t="s">
        <v>103</v>
      </c>
      <c r="E79" s="14"/>
      <c r="F79" s="10"/>
    </row>
    <row r="80" spans="1:9" ht="13.8" thickBot="1" x14ac:dyDescent="0.3"/>
    <row r="81" spans="1:6" ht="16.2" thickBot="1" x14ac:dyDescent="0.35">
      <c r="B81" s="120" t="s">
        <v>93</v>
      </c>
      <c r="E81" s="121" t="s">
        <v>94</v>
      </c>
      <c r="F81" s="57"/>
    </row>
    <row r="82" spans="1:6" ht="16.8" thickTop="1" thickBot="1" x14ac:dyDescent="0.35">
      <c r="B82" s="52" t="s">
        <v>17</v>
      </c>
      <c r="D82" s="43"/>
      <c r="E82" s="105">
        <v>180</v>
      </c>
    </row>
    <row r="83" spans="1:6" ht="16.8" thickTop="1" thickBot="1" x14ac:dyDescent="0.35">
      <c r="A83" s="11"/>
      <c r="B83" s="52" t="s">
        <v>18</v>
      </c>
      <c r="D83" s="43"/>
      <c r="E83" s="105">
        <v>15</v>
      </c>
    </row>
    <row r="84" spans="1:6" ht="16.8" thickTop="1" thickBot="1" x14ac:dyDescent="0.35">
      <c r="A84" s="11"/>
      <c r="B84" s="52" t="s">
        <v>52</v>
      </c>
      <c r="D84" s="43"/>
      <c r="E84" s="129">
        <v>1</v>
      </c>
    </row>
    <row r="85" spans="1:6" ht="13.8" thickTop="1" x14ac:dyDescent="0.25">
      <c r="A85" s="11"/>
    </row>
    <row r="86" spans="1:6" ht="15.6" x14ac:dyDescent="0.3">
      <c r="A86" s="11"/>
      <c r="B86" s="122" t="s">
        <v>53</v>
      </c>
      <c r="E86" s="144">
        <f>($E$83*$E$76)+$E$84</f>
        <v>19.923429818758969</v>
      </c>
      <c r="F86" s="143">
        <f>E83*F76+E84</f>
        <v>20.666236128473209</v>
      </c>
    </row>
    <row r="87" spans="1:6" x14ac:dyDescent="0.25">
      <c r="B87" s="58" t="s">
        <v>95</v>
      </c>
      <c r="C87"/>
      <c r="D87"/>
      <c r="E87"/>
      <c r="F87"/>
    </row>
    <row r="88" spans="1:6" x14ac:dyDescent="0.25">
      <c r="B88" s="58"/>
      <c r="C88"/>
      <c r="D88"/>
      <c r="E88"/>
      <c r="F88"/>
    </row>
    <row r="89" spans="1:6" ht="15.6" x14ac:dyDescent="0.3">
      <c r="B89" s="59" t="s">
        <v>54</v>
      </c>
      <c r="C89" s="11"/>
      <c r="D89" s="11"/>
      <c r="E89" s="145">
        <f>$E$86/$E$82</f>
        <v>0.1106857212153276</v>
      </c>
      <c r="F89" s="143">
        <f>ROUND($F$86/$E$82,9)</f>
        <v>0.114812423</v>
      </c>
    </row>
    <row r="90" spans="1:6" ht="13.8" x14ac:dyDescent="0.25">
      <c r="B90" s="60" t="s">
        <v>96</v>
      </c>
      <c r="C90" s="11"/>
      <c r="D90" s="11"/>
      <c r="E90" s="61"/>
      <c r="F90" s="17"/>
    </row>
    <row r="91" spans="1:6" ht="15.6" x14ac:dyDescent="0.3">
      <c r="B91" s="123"/>
      <c r="C91"/>
      <c r="D91"/>
      <c r="E91"/>
      <c r="F91"/>
    </row>
    <row r="92" spans="1:6" ht="17.399999999999999" x14ac:dyDescent="0.3">
      <c r="B92" s="86" t="s">
        <v>104</v>
      </c>
      <c r="C92"/>
      <c r="D92"/>
      <c r="E92"/>
      <c r="F92"/>
    </row>
    <row r="93" spans="1:6" ht="17.399999999999999" x14ac:dyDescent="0.3">
      <c r="B93" s="62"/>
      <c r="C93"/>
      <c r="D93"/>
      <c r="E93"/>
      <c r="F93"/>
    </row>
    <row r="94" spans="1:6" ht="17.399999999999999" x14ac:dyDescent="0.3">
      <c r="B94" s="124"/>
      <c r="C94"/>
      <c r="D94"/>
      <c r="E94" s="136" t="s">
        <v>55</v>
      </c>
      <c r="F94" s="137" t="s">
        <v>32</v>
      </c>
    </row>
    <row r="95" spans="1:6" ht="17.399999999999999" x14ac:dyDescent="0.3">
      <c r="B95" s="124"/>
      <c r="C95"/>
      <c r="D95"/>
      <c r="E95" s="125"/>
      <c r="F95" s="125"/>
    </row>
    <row r="96" spans="1:6" ht="16.2" thickBot="1" x14ac:dyDescent="0.35">
      <c r="B96" s="63" t="s">
        <v>97</v>
      </c>
      <c r="C96"/>
      <c r="D96"/>
      <c r="E96" s="132">
        <f>C32</f>
        <v>119217.60785818151</v>
      </c>
      <c r="F96" s="132">
        <f>D32</f>
        <v>123897.28760938121</v>
      </c>
    </row>
    <row r="97" spans="1:6" ht="16.8" thickTop="1" thickBot="1" x14ac:dyDescent="0.35">
      <c r="B97" s="96" t="s">
        <v>98</v>
      </c>
      <c r="C97"/>
      <c r="D97" s="72"/>
      <c r="E97" s="130">
        <v>200000</v>
      </c>
      <c r="F97" s="131">
        <v>200000</v>
      </c>
    </row>
    <row r="98" spans="1:6" ht="16.2" thickTop="1" x14ac:dyDescent="0.3">
      <c r="B98" s="9" t="s">
        <v>99</v>
      </c>
      <c r="C98"/>
      <c r="D98"/>
      <c r="E98" s="133">
        <f>E97*12</f>
        <v>2400000</v>
      </c>
      <c r="F98" s="133">
        <f>F97*12</f>
        <v>2400000</v>
      </c>
    </row>
    <row r="99" spans="1:6" ht="17.399999999999999" x14ac:dyDescent="0.3">
      <c r="B99" s="124"/>
      <c r="C99"/>
      <c r="D99"/>
      <c r="E99"/>
      <c r="F99"/>
    </row>
    <row r="100" spans="1:6" ht="15.6" x14ac:dyDescent="0.3">
      <c r="B100" s="64" t="s">
        <v>100</v>
      </c>
      <c r="C100"/>
      <c r="D100"/>
      <c r="E100" s="145">
        <f>E96/E98</f>
        <v>4.9674003274242297E-2</v>
      </c>
      <c r="F100" s="146">
        <f>F96/F98</f>
        <v>5.1623869837242167E-2</v>
      </c>
    </row>
    <row r="101" spans="1:6" x14ac:dyDescent="0.25">
      <c r="B101" s="65" t="s">
        <v>101</v>
      </c>
      <c r="C101"/>
      <c r="D101"/>
      <c r="E101"/>
      <c r="F101"/>
    </row>
    <row r="103" spans="1:6" ht="17.399999999999999" x14ac:dyDescent="0.3">
      <c r="B103" s="86" t="s">
        <v>105</v>
      </c>
    </row>
    <row r="104" spans="1:6" x14ac:dyDescent="0.25">
      <c r="A104" s="73"/>
      <c r="B104" s="1" t="s">
        <v>112</v>
      </c>
    </row>
    <row r="105" spans="1:6" x14ac:dyDescent="0.25">
      <c r="B105" s="56" t="s">
        <v>106</v>
      </c>
    </row>
    <row r="106" spans="1:6" x14ac:dyDescent="0.25">
      <c r="B106" s="53"/>
      <c r="C106" s="71"/>
      <c r="D106" s="71"/>
    </row>
    <row r="107" spans="1:6" x14ac:dyDescent="0.25">
      <c r="B107" s="74"/>
      <c r="C107" s="75"/>
      <c r="D107" s="76"/>
    </row>
    <row r="108" spans="1:6" x14ac:dyDescent="0.25">
      <c r="B108" s="74"/>
      <c r="C108" s="71"/>
      <c r="D108" s="76"/>
    </row>
    <row r="109" spans="1:6" x14ac:dyDescent="0.25">
      <c r="B109" s="74"/>
      <c r="C109" s="71"/>
      <c r="D109" s="76"/>
    </row>
    <row r="110" spans="1:6" x14ac:dyDescent="0.25">
      <c r="B110" s="74"/>
      <c r="C110" s="71"/>
      <c r="D110" s="76"/>
    </row>
    <row r="111" spans="1:6" x14ac:dyDescent="0.25">
      <c r="B111" s="74"/>
      <c r="C111" s="71"/>
      <c r="D111" s="76"/>
    </row>
    <row r="112" spans="1:6" x14ac:dyDescent="0.25">
      <c r="B112" s="74"/>
      <c r="C112" s="71"/>
      <c r="D112" s="76"/>
    </row>
    <row r="113" spans="2:4" x14ac:dyDescent="0.25">
      <c r="B113" s="74"/>
      <c r="C113" s="71"/>
      <c r="D113" s="76"/>
    </row>
    <row r="114" spans="2:4" x14ac:dyDescent="0.25">
      <c r="B114" s="74"/>
      <c r="C114" s="71"/>
      <c r="D114" s="76"/>
    </row>
    <row r="115" spans="2:4" x14ac:dyDescent="0.25">
      <c r="B115" s="74"/>
      <c r="C115" s="71"/>
      <c r="D115" s="76"/>
    </row>
    <row r="116" spans="2:4" x14ac:dyDescent="0.25">
      <c r="B116" s="74"/>
      <c r="C116" s="71"/>
      <c r="D116" s="76"/>
    </row>
    <row r="117" spans="2:4" x14ac:dyDescent="0.25">
      <c r="B117" s="74"/>
      <c r="C117" s="71"/>
      <c r="D117" s="76"/>
    </row>
    <row r="118" spans="2:4" x14ac:dyDescent="0.25">
      <c r="B118" s="74"/>
      <c r="C118" s="71"/>
      <c r="D118" s="76"/>
    </row>
    <row r="122" spans="2:4" ht="17.399999999999999" x14ac:dyDescent="0.3">
      <c r="B122" s="86" t="s">
        <v>107</v>
      </c>
    </row>
    <row r="123" spans="2:4" x14ac:dyDescent="0.25">
      <c r="B123" s="56" t="s">
        <v>111</v>
      </c>
    </row>
    <row r="124" spans="2:4" x14ac:dyDescent="0.25">
      <c r="B124" s="56" t="s">
        <v>77</v>
      </c>
    </row>
    <row r="125" spans="2:4" x14ac:dyDescent="0.25">
      <c r="B125" s="56"/>
    </row>
    <row r="126" spans="2:4" x14ac:dyDescent="0.25">
      <c r="B126" s="56"/>
    </row>
    <row r="127" spans="2:4" x14ac:dyDescent="0.25">
      <c r="B127" s="56"/>
    </row>
    <row r="128" spans="2:4" x14ac:dyDescent="0.25">
      <c r="B128" s="42"/>
    </row>
    <row r="129" spans="2:2" x14ac:dyDescent="0.25">
      <c r="B129" s="56"/>
    </row>
    <row r="130" spans="2:2" x14ac:dyDescent="0.25">
      <c r="B130" s="2"/>
    </row>
  </sheetData>
  <phoneticPr fontId="1" type="noConversion"/>
  <hyperlinks>
    <hyperlink ref="F2" r:id="rId1" xr:uid="{00000000-0004-0000-0000-000000000000}"/>
  </hyperlinks>
  <pageMargins left="0.75" right="0.75" top="1" bottom="1" header="0.4921259845" footer="0.4921259845"/>
  <pageSetup paperSize="9" scale="3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výpočty</vt:lpstr>
    </vt:vector>
  </TitlesOfParts>
  <Company>Erika Moricova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erika, tomas, peter</dc:creator>
  <cp:lastModifiedBy>Oravec</cp:lastModifiedBy>
  <cp:lastPrinted>2021-08-11T17:47:13Z</cp:lastPrinted>
  <dcterms:created xsi:type="dcterms:W3CDTF">2007-01-14T21:23:17Z</dcterms:created>
  <dcterms:modified xsi:type="dcterms:W3CDTF">2021-08-31T00:03:57Z</dcterms:modified>
</cp:coreProperties>
</file>